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udy\Desktop\ČISTE KNJIGE\"/>
    </mc:Choice>
  </mc:AlternateContent>
  <xr:revisionPtr revIDLastSave="0" documentId="13_ncr:1_{6DA5F999-B1CE-47A8-AA7D-BEAFC0B53D2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ist1" sheetId="3" r:id="rId1"/>
    <sheet name="PRVO UNESITE PODATKE" sheetId="1" r:id="rId2"/>
    <sheet name="PREGLED MOGUĆNOSTI " sheetId="2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C9" i="1"/>
  <c r="D5" i="2"/>
  <c r="C5" i="2"/>
  <c r="B5" i="2"/>
  <c r="D11" i="2"/>
  <c r="C3" i="2"/>
  <c r="C13" i="2" s="1"/>
  <c r="E8" i="2"/>
  <c r="I15" i="1"/>
  <c r="I14" i="1"/>
  <c r="I13" i="1"/>
  <c r="I12" i="1"/>
  <c r="I11" i="1"/>
  <c r="I10" i="1"/>
  <c r="I9" i="1"/>
  <c r="I8" i="1"/>
  <c r="A4" i="3" l="1"/>
  <c r="A2" i="3"/>
  <c r="A3" i="3" s="1"/>
  <c r="A5" i="3" l="1"/>
  <c r="A6" i="3" l="1"/>
  <c r="A8" i="3" s="1"/>
  <c r="D8" i="2" s="1"/>
  <c r="C22" i="1"/>
  <c r="B10" i="2"/>
  <c r="C6" i="2"/>
  <c r="C20" i="2" s="1"/>
  <c r="D6" i="2"/>
  <c r="D20" i="2" s="1"/>
  <c r="B6" i="2"/>
  <c r="B20" i="2" s="1"/>
  <c r="D3" i="2"/>
  <c r="B3" i="2"/>
  <c r="E3" i="2" s="1"/>
  <c r="B4" i="2"/>
  <c r="E4" i="2" s="1"/>
  <c r="D9" i="2" l="1"/>
  <c r="E9" i="2"/>
  <c r="E20" i="2" s="1"/>
  <c r="F3" i="2"/>
  <c r="C16" i="2"/>
  <c r="C19" i="2" s="1"/>
  <c r="C12" i="2"/>
  <c r="B9" i="2"/>
  <c r="C4" i="2"/>
  <c r="D4" i="2"/>
  <c r="D12" i="2" l="1"/>
  <c r="F13" i="2"/>
  <c r="F16" i="2" s="1"/>
  <c r="F19" i="2" s="1"/>
  <c r="F20" i="2"/>
  <c r="C9" i="2"/>
  <c r="C21" i="2" s="1"/>
  <c r="F4" i="2"/>
  <c r="F9" i="2" s="1"/>
  <c r="F12" i="2"/>
  <c r="B11" i="2"/>
  <c r="E11" i="2" s="1"/>
  <c r="E12" i="2" s="1"/>
  <c r="B12" i="2" l="1"/>
  <c r="B15" i="2" s="1"/>
  <c r="E14" i="2"/>
  <c r="E15" i="2"/>
  <c r="F21" i="2"/>
  <c r="D13" i="2"/>
  <c r="D16" i="2" s="1"/>
  <c r="D18" i="2" s="1"/>
  <c r="B14" i="2" l="1"/>
  <c r="B16" i="2" s="1"/>
  <c r="E16" i="2"/>
  <c r="E19" i="2" s="1"/>
  <c r="E21" i="2" s="1"/>
  <c r="D17" i="2"/>
  <c r="B19" i="2" l="1"/>
  <c r="B21" i="2" s="1"/>
  <c r="D19" i="2"/>
  <c r="D2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Dudy-pc</author>
  </authors>
  <commentList>
    <comment ref="C19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Đurđica Mostarčić:</t>
        </r>
        <r>
          <rPr>
            <sz val="9"/>
            <color indexed="81"/>
            <rFont val="Segoe UI"/>
            <family val="2"/>
            <charset val="238"/>
          </rPr>
          <t xml:space="preserve">
npr. za dvoje djece ćete unijeti 300+420</t>
        </r>
      </text>
    </comment>
  </commentList>
</comments>
</file>

<file path=xl/sharedStrings.xml><?xml version="1.0" encoding="utf-8"?>
<sst xmlns="http://schemas.openxmlformats.org/spreadsheetml/2006/main" count="56" uniqueCount="56">
  <si>
    <t>osobni odbitak</t>
  </si>
  <si>
    <t>osnovni osobni odbitak</t>
  </si>
  <si>
    <t>mjesečni primitak BEZ PDVa</t>
  </si>
  <si>
    <t>uzdržavani član</t>
  </si>
  <si>
    <t>mjesečni izdatak BEZ PDVa</t>
  </si>
  <si>
    <t>prvo dijete</t>
  </si>
  <si>
    <t>najamnina</t>
  </si>
  <si>
    <t>drugo dijete</t>
  </si>
  <si>
    <t>nabavka robe</t>
  </si>
  <si>
    <t>treće dijete</t>
  </si>
  <si>
    <t>nabavka usluga</t>
  </si>
  <si>
    <t>četvrto dijete</t>
  </si>
  <si>
    <t>ukupno plaće radnika (bez Vaših doprinosa!!)</t>
  </si>
  <si>
    <t>peto dijete</t>
  </si>
  <si>
    <t>troškovi banke</t>
  </si>
  <si>
    <t>šesto dijete</t>
  </si>
  <si>
    <t>100% troška reprezentacije</t>
  </si>
  <si>
    <t>sedmo dijete</t>
  </si>
  <si>
    <t>100% troška osobnog vozila</t>
  </si>
  <si>
    <t xml:space="preserve">osobni odbitak </t>
  </si>
  <si>
    <t>dodatni odbitak (ZBROJ za uzdržavanog člana ili za djecu)</t>
  </si>
  <si>
    <t>IZNOS ZA UMANJENJE OSNOVICE OPOREZIVANJA</t>
  </si>
  <si>
    <t>80% troškova za izobrazbu</t>
  </si>
  <si>
    <t>100% troškova za novozaposlene (umanjeno za osobe koje nisu u radnom odnosu)</t>
  </si>
  <si>
    <t>broj naučnika tijekom godine</t>
  </si>
  <si>
    <t>ukupni oporezivi godišnji primitak</t>
  </si>
  <si>
    <t>ukupni oporezivi godišnji izdatak</t>
  </si>
  <si>
    <t>DOPRINOSI za obrtnika mjesečno</t>
  </si>
  <si>
    <t>neto dohodak za isplatu na nivou godine</t>
  </si>
  <si>
    <t>DOHODAK/DOBIT PRIJE OPOREZIVANJA</t>
  </si>
  <si>
    <t xml:space="preserve">OSOBNI ODBITAK na nivou godine </t>
  </si>
  <si>
    <t>UMANJENJE POREZNE OSNOVICE</t>
  </si>
  <si>
    <t>OSNOVICA ZA OPOREZIVANJE</t>
  </si>
  <si>
    <t>UKUPNO POREZ</t>
  </si>
  <si>
    <t>UKUPNO godišnja POREZNA OBVEZA</t>
  </si>
  <si>
    <t>OSTAJE ZA OBRTNIKA/vlasnika na nivou godine</t>
  </si>
  <si>
    <t>POREZ 12%</t>
  </si>
  <si>
    <t>POREZ NIŽA STOPA</t>
  </si>
  <si>
    <t>POREZ VIŠA STOPA</t>
  </si>
  <si>
    <t>POREZ NA DOHODAK OD KAPITALA, PRILIKOM ISPLATE</t>
  </si>
  <si>
    <t>POREZ 10% ili 12%</t>
  </si>
  <si>
    <t>ukupno doprinosi za obrtnika godišnje</t>
  </si>
  <si>
    <t>Ukupno doprinosi za obrtnika godišnje</t>
  </si>
  <si>
    <t>Obrt u sustavu poreza na dobit</t>
  </si>
  <si>
    <t>VIŠA STOPA POREZA u Vašem gradu/mjestu</t>
  </si>
  <si>
    <t>NIŽA STOPA POREZA u Vašem gradu/mjestu</t>
  </si>
  <si>
    <t>OBRT obveznik poreza na dohodak</t>
  </si>
  <si>
    <t>OBRT izbor paušalno oporezivanje</t>
  </si>
  <si>
    <r>
      <t xml:space="preserve">Obrt obveznik poreza na dohodak </t>
    </r>
    <r>
      <rPr>
        <b/>
        <sz val="11"/>
        <color rgb="FF0070C0"/>
        <rFont val="Calibri"/>
        <family val="2"/>
        <charset val="238"/>
        <scheme val="minor"/>
      </rPr>
      <t>uz rad</t>
    </r>
  </si>
  <si>
    <r>
      <t xml:space="preserve">Obrt izbor paušalno oporezivanje </t>
    </r>
    <r>
      <rPr>
        <b/>
        <sz val="11"/>
        <color rgb="FF0070C0"/>
        <rFont val="Calibri"/>
        <family val="2"/>
        <charset val="238"/>
        <scheme val="minor"/>
      </rPr>
      <t>uz rad</t>
    </r>
  </si>
  <si>
    <t>INFORMATIVNI OBRAČUN PREMA VAŠIM UPUTAMA OČEKIVANIH PRIMITAKA I IZDATAKA NA NIVOU GODINE</t>
  </si>
  <si>
    <r>
      <t xml:space="preserve">Molimo, unesite OČEKIVANE podatke u </t>
    </r>
    <r>
      <rPr>
        <b/>
        <sz val="11"/>
        <color theme="1"/>
        <rFont val="Calibri"/>
        <family val="2"/>
        <charset val="238"/>
        <scheme val="minor"/>
      </rPr>
      <t>bijela polja tablice</t>
    </r>
  </si>
  <si>
    <t>ostali troškovi (uključivo troškovi teretnog vozila)</t>
  </si>
  <si>
    <t>INFORMATIVNI KALKULATOR DOBRO JE BITI OBRTNIK</t>
  </si>
  <si>
    <t>NAKON ŠTO UNESETE PODATKE, KLIKNITE DOLJE NA "PREGLED MOGUĆNOSTI"</t>
  </si>
  <si>
    <t>porez na dohodak iz poduzetničke plaće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</si>
</sst>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595959"/>
      <name val="Arial"/>
      <family val="2"/>
      <charset val="238"/>
    </font>
    <font>
      <sz val="9"/>
      <color rgb="FF4C4C4C"/>
      <name val="Arial"/>
      <family val="2"/>
      <charset val="238"/>
    </font>
    <font>
      <sz val="9"/>
      <color rgb="FF59595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theme="2" tint="-0.899990844447157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9" fontId="0" fillId="0" borderId="1" xfId="0" applyNumberFormat="1" applyBorder="1"/>
    <xf numFmtId="4" fontId="1" fillId="0" borderId="1" xfId="0" applyNumberFormat="1" applyFont="1" applyBorder="1"/>
    <xf numFmtId="4" fontId="1" fillId="2" borderId="1" xfId="0" applyNumberFormat="1" applyFont="1" applyFill="1" applyBorder="1"/>
    <xf numFmtId="0" fontId="1" fillId="0" borderId="1" xfId="0" applyFont="1" applyBorder="1" applyAlignment="1">
      <alignment horizontal="center" wrapText="1"/>
    </xf>
    <xf numFmtId="9" fontId="0" fillId="0" borderId="0" xfId="0" applyNumberFormat="1"/>
    <xf numFmtId="0" fontId="0" fillId="4" borderId="0" xfId="0" applyFill="1"/>
    <xf numFmtId="10" fontId="1" fillId="0" borderId="1" xfId="0" applyNumberFormat="1" applyFont="1" applyBorder="1"/>
    <xf numFmtId="0" fontId="0" fillId="5" borderId="1" xfId="0" applyFill="1" applyBorder="1"/>
    <xf numFmtId="4" fontId="11" fillId="3" borderId="1" xfId="0" applyNumberFormat="1" applyFont="1" applyFill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0" fillId="5" borderId="1" xfId="0" applyNumberForma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12" fillId="3" borderId="1" xfId="0" applyNumberFormat="1" applyFont="1" applyFill="1" applyBorder="1" applyAlignment="1">
      <alignment horizontal="center"/>
    </xf>
    <xf numFmtId="4" fontId="12" fillId="3" borderId="1" xfId="0" applyNumberFormat="1" applyFont="1" applyFill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0" fontId="9" fillId="0" borderId="0" xfId="0" applyFont="1"/>
    <xf numFmtId="0" fontId="0" fillId="0" borderId="0" xfId="0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'PREGLED MOGUĆNOSTI '!$B$2</c:f>
              <c:strCache>
                <c:ptCount val="1"/>
                <c:pt idx="0">
                  <c:v>OBRT obveznik poreza na dohodak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'!$B$19:$B$21</c:f>
              <c:numCache>
                <c:formatCode>#,##0.00</c:formatCode>
                <c:ptCount val="3"/>
                <c:pt idx="0">
                  <c:v>0</c:v>
                </c:pt>
                <c:pt idx="1">
                  <c:v>5674.0709999999999</c:v>
                </c:pt>
                <c:pt idx="2">
                  <c:v>-5674.0709999999999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3-4DE8-B3C0-CD2F1BD8B6FC}"/>
            </c:ext>
          </c:extLst>
        </c:ser>
        <c:ser>
          <c:idx val="1"/>
          <c:order val="1"/>
          <c:tx>
            <c:strRef>
              <c:f>'PREGLED MOGUĆNOSTI '!$C$2</c:f>
              <c:strCache>
                <c:ptCount val="1"/>
                <c:pt idx="0">
                  <c:v>OBRT izbor paušalno oporezivanje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'!$C$19:$C$21</c:f>
              <c:numCache>
                <c:formatCode>#,##0.00</c:formatCode>
                <c:ptCount val="3"/>
                <c:pt idx="0">
                  <c:v>203.4</c:v>
                </c:pt>
                <c:pt idx="1">
                  <c:v>3491.7359999999999</c:v>
                </c:pt>
                <c:pt idx="2">
                  <c:v>-3695.136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33-4DE8-B3C0-CD2F1BD8B6FC}"/>
            </c:ext>
          </c:extLst>
        </c:ser>
        <c:ser>
          <c:idx val="2"/>
          <c:order val="2"/>
          <c:tx>
            <c:strRef>
              <c:f>'PREGLED MOGUĆNOSTI '!$D$2</c:f>
              <c:strCache>
                <c:ptCount val="1"/>
                <c:pt idx="0">
                  <c:v>Obrt u sustavu poreza na dobit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'!$D$19:$D$21</c:f>
              <c:numCache>
                <c:formatCode>#,##0.00</c:formatCode>
                <c:ptCount val="3"/>
                <c:pt idx="0">
                  <c:v>0</c:v>
                </c:pt>
                <c:pt idx="1">
                  <c:v>9602.3940000000002</c:v>
                </c:pt>
                <c:pt idx="2">
                  <c:v>-12786.992399999999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33-4DE8-B3C0-CD2F1BD8B6FC}"/>
            </c:ext>
          </c:extLst>
        </c:ser>
        <c:ser>
          <c:idx val="3"/>
          <c:order val="3"/>
          <c:tx>
            <c:strRef>
              <c:f>'PREGLED MOGUĆNOSTI '!$E$2</c:f>
              <c:strCache>
                <c:ptCount val="1"/>
                <c:pt idx="0">
                  <c:v>Obrt obveznik poreza na dohodak uz rad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'!$E$19:$E$21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E-4B55-816C-A4425363F903}"/>
            </c:ext>
          </c:extLst>
        </c:ser>
        <c:ser>
          <c:idx val="4"/>
          <c:order val="4"/>
          <c:tx>
            <c:strRef>
              <c:f>'PREGLED MOGUĆNOSTI '!$F$2</c:f>
              <c:strCache>
                <c:ptCount val="1"/>
                <c:pt idx="0">
                  <c:v>Obrt izbor paušalno oporezivanje uz rad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'!$F$19:$F$21</c:f>
              <c:numCache>
                <c:formatCode>#,##0.00</c:formatCode>
                <c:ptCount val="3"/>
                <c:pt idx="0">
                  <c:v>203.4</c:v>
                </c:pt>
                <c:pt idx="1">
                  <c:v>296.63</c:v>
                </c:pt>
                <c:pt idx="2">
                  <c:v>-500.03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E-4B55-816C-A4425363F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9661664"/>
        <c:axId val="1719674144"/>
      </c:barChart>
      <c:catAx>
        <c:axId val="17196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9674144"/>
        <c:crosses val="autoZero"/>
        <c:auto val="1"/>
        <c:lblAlgn val="ctr"/>
        <c:lblOffset val="100"/>
        <c:noMultiLvlLbl val="0"/>
      </c:catAx>
      <c:valAx>
        <c:axId val="17196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966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15</xdr:row>
      <xdr:rowOff>171752</xdr:rowOff>
    </xdr:from>
    <xdr:to>
      <xdr:col>7</xdr:col>
      <xdr:colOff>371475</xdr:colOff>
      <xdr:row>24</xdr:row>
      <xdr:rowOff>28121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1" y="3029252"/>
          <a:ext cx="2219324" cy="1761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</xdr:rowOff>
    </xdr:from>
    <xdr:to>
      <xdr:col>18</xdr:col>
      <xdr:colOff>600074</xdr:colOff>
      <xdr:row>21</xdr:row>
      <xdr:rowOff>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13AAD5AF-A5B8-2520-29C4-2C4EE3DFA4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9DCE-97E7-49EF-BB38-7E10F08FE601}">
  <dimension ref="A1:B8"/>
  <sheetViews>
    <sheetView workbookViewId="0">
      <selection activeCell="A4" sqref="A4"/>
    </sheetView>
  </sheetViews>
  <sheetFormatPr defaultRowHeight="15" x14ac:dyDescent="0.25"/>
  <sheetData>
    <row r="1" spans="1:2" x14ac:dyDescent="0.25">
      <c r="A1">
        <v>2192.3000000000002</v>
      </c>
    </row>
    <row r="2" spans="1:2" x14ac:dyDescent="0.25">
      <c r="A2">
        <f>A1*0.2</f>
        <v>438.46000000000004</v>
      </c>
    </row>
    <row r="3" spans="1:2" x14ac:dyDescent="0.25">
      <c r="A3">
        <f>A1-A2</f>
        <v>1753.8400000000001</v>
      </c>
    </row>
    <row r="4" spans="1:2" x14ac:dyDescent="0.25">
      <c r="A4" s="1">
        <f>'PRVO UNESITE PODATKE'!C18+'PRVO UNESITE PODATKE'!C19</f>
        <v>600</v>
      </c>
      <c r="B4" s="1"/>
    </row>
    <row r="5" spans="1:2" x14ac:dyDescent="0.25">
      <c r="A5" s="1">
        <f>A3-A4</f>
        <v>1153.8400000000001</v>
      </c>
      <c r="B5" s="1"/>
    </row>
    <row r="6" spans="1:2" x14ac:dyDescent="0.25">
      <c r="A6">
        <f>A5*'PRVO UNESITE PODATKE'!C20</f>
        <v>265.38320000000004</v>
      </c>
    </row>
    <row r="7" spans="1:2" x14ac:dyDescent="0.25">
      <c r="B7" s="15"/>
    </row>
    <row r="8" spans="1:2" x14ac:dyDescent="0.25">
      <c r="A8">
        <f>A3-A6-A7</f>
        <v>1488.4568000000002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O63"/>
  <sheetViews>
    <sheetView workbookViewId="0">
      <selection activeCell="C11" sqref="C11"/>
    </sheetView>
  </sheetViews>
  <sheetFormatPr defaultRowHeight="15" x14ac:dyDescent="0.25"/>
  <cols>
    <col min="2" max="2" width="50.5703125" customWidth="1"/>
    <col min="3" max="3" width="18" customWidth="1"/>
    <col min="8" max="8" width="12.42578125" customWidth="1"/>
  </cols>
  <sheetData>
    <row r="2" spans="2:15" x14ac:dyDescent="0.25">
      <c r="B2" t="s">
        <v>53</v>
      </c>
    </row>
    <row r="5" spans="2:15" x14ac:dyDescent="0.25">
      <c r="O5" s="2"/>
    </row>
    <row r="6" spans="2:15" x14ac:dyDescent="0.25">
      <c r="B6" s="16" t="s">
        <v>51</v>
      </c>
      <c r="G6" t="s">
        <v>0</v>
      </c>
      <c r="O6" s="2"/>
    </row>
    <row r="7" spans="2:15" x14ac:dyDescent="0.25">
      <c r="G7" t="s">
        <v>1</v>
      </c>
      <c r="I7">
        <v>600</v>
      </c>
      <c r="O7" s="2"/>
    </row>
    <row r="8" spans="2:15" x14ac:dyDescent="0.25">
      <c r="B8" s="8" t="s">
        <v>2</v>
      </c>
      <c r="C8" s="12">
        <v>0</v>
      </c>
      <c r="G8" t="s">
        <v>3</v>
      </c>
      <c r="I8">
        <f>0.5*I7</f>
        <v>300</v>
      </c>
      <c r="O8" s="2"/>
    </row>
    <row r="9" spans="2:15" x14ac:dyDescent="0.25">
      <c r="B9" s="8" t="s">
        <v>4</v>
      </c>
      <c r="C9" s="13">
        <f>SUM(C10:C17)</f>
        <v>0</v>
      </c>
      <c r="G9" t="s">
        <v>5</v>
      </c>
      <c r="I9">
        <f>0.5*I7</f>
        <v>300</v>
      </c>
      <c r="O9" s="3"/>
    </row>
    <row r="10" spans="2:15" x14ac:dyDescent="0.25">
      <c r="B10" s="8" t="s">
        <v>6</v>
      </c>
      <c r="C10" s="10">
        <v>0</v>
      </c>
      <c r="G10" t="s">
        <v>7</v>
      </c>
      <c r="I10">
        <f>0.7*I7</f>
        <v>420</v>
      </c>
      <c r="O10" s="4"/>
    </row>
    <row r="11" spans="2:15" x14ac:dyDescent="0.25">
      <c r="B11" s="8" t="s">
        <v>8</v>
      </c>
      <c r="C11" s="10">
        <v>0</v>
      </c>
      <c r="G11" t="s">
        <v>9</v>
      </c>
      <c r="I11">
        <f>1*I7</f>
        <v>600</v>
      </c>
      <c r="O11" s="5"/>
    </row>
    <row r="12" spans="2:15" x14ac:dyDescent="0.25">
      <c r="B12" s="8" t="s">
        <v>10</v>
      </c>
      <c r="C12" s="10">
        <v>0</v>
      </c>
      <c r="G12" t="s">
        <v>11</v>
      </c>
      <c r="I12">
        <f>1.4*I7</f>
        <v>840</v>
      </c>
      <c r="O12" s="5"/>
    </row>
    <row r="13" spans="2:15" x14ac:dyDescent="0.25">
      <c r="B13" s="8" t="s">
        <v>12</v>
      </c>
      <c r="C13" s="10">
        <v>0</v>
      </c>
      <c r="G13" t="s">
        <v>13</v>
      </c>
      <c r="I13">
        <f>1.9*I7</f>
        <v>1140</v>
      </c>
      <c r="O13" s="3"/>
    </row>
    <row r="14" spans="2:15" x14ac:dyDescent="0.25">
      <c r="B14" s="8" t="s">
        <v>14</v>
      </c>
      <c r="C14" s="10">
        <v>0</v>
      </c>
      <c r="G14" t="s">
        <v>15</v>
      </c>
      <c r="I14">
        <f>2.5*I7</f>
        <v>1500</v>
      </c>
      <c r="O14" s="6"/>
    </row>
    <row r="15" spans="2:15" x14ac:dyDescent="0.25">
      <c r="B15" s="8" t="s">
        <v>16</v>
      </c>
      <c r="C15" s="10">
        <v>0</v>
      </c>
      <c r="G15" t="s">
        <v>17</v>
      </c>
      <c r="I15">
        <f>3.2*I7</f>
        <v>1920</v>
      </c>
      <c r="O15" s="6"/>
    </row>
    <row r="16" spans="2:15" x14ac:dyDescent="0.25">
      <c r="B16" s="8" t="s">
        <v>18</v>
      </c>
      <c r="C16" s="10">
        <v>0</v>
      </c>
      <c r="O16" s="6"/>
    </row>
    <row r="17" spans="2:15" x14ac:dyDescent="0.25">
      <c r="B17" s="8" t="s">
        <v>52</v>
      </c>
      <c r="C17" s="10">
        <v>0</v>
      </c>
      <c r="O17" s="5"/>
    </row>
    <row r="18" spans="2:15" x14ac:dyDescent="0.25">
      <c r="B18" s="8" t="s">
        <v>19</v>
      </c>
      <c r="C18" s="12">
        <v>600</v>
      </c>
      <c r="O18" s="5"/>
    </row>
    <row r="19" spans="2:15" x14ac:dyDescent="0.25">
      <c r="B19" s="8" t="s">
        <v>20</v>
      </c>
      <c r="C19" s="12">
        <v>0</v>
      </c>
      <c r="O19" s="3"/>
    </row>
    <row r="20" spans="2:15" x14ac:dyDescent="0.25">
      <c r="B20" s="8" t="s">
        <v>45</v>
      </c>
      <c r="C20" s="17">
        <v>0.23</v>
      </c>
      <c r="O20" s="6"/>
    </row>
    <row r="21" spans="2:15" x14ac:dyDescent="0.25">
      <c r="B21" s="8" t="s">
        <v>44</v>
      </c>
      <c r="C21" s="17">
        <v>0.33</v>
      </c>
      <c r="O21" s="6"/>
    </row>
    <row r="22" spans="2:15" x14ac:dyDescent="0.25">
      <c r="B22" s="8" t="s">
        <v>21</v>
      </c>
      <c r="C22" s="13">
        <f>C23+C24</f>
        <v>0</v>
      </c>
      <c r="O22" s="5"/>
    </row>
    <row r="23" spans="2:15" x14ac:dyDescent="0.25">
      <c r="B23" s="8" t="s">
        <v>22</v>
      </c>
      <c r="C23" s="10">
        <v>0</v>
      </c>
      <c r="O23" s="5"/>
    </row>
    <row r="24" spans="2:15" ht="30" x14ac:dyDescent="0.25">
      <c r="B24" s="9" t="s">
        <v>23</v>
      </c>
      <c r="C24" s="10">
        <v>0</v>
      </c>
      <c r="O24" s="3"/>
    </row>
    <row r="25" spans="2:15" x14ac:dyDescent="0.25">
      <c r="B25" s="8" t="s">
        <v>24</v>
      </c>
      <c r="C25" s="10">
        <v>0</v>
      </c>
      <c r="O25" s="6"/>
    </row>
    <row r="26" spans="2:15" x14ac:dyDescent="0.25">
      <c r="C26" s="1"/>
      <c r="O26" s="5"/>
    </row>
    <row r="27" spans="2:15" x14ac:dyDescent="0.25">
      <c r="C27" s="1"/>
      <c r="O27" s="5"/>
    </row>
    <row r="28" spans="2:15" x14ac:dyDescent="0.25">
      <c r="B28" s="33" t="s">
        <v>54</v>
      </c>
      <c r="C28" s="1"/>
      <c r="O28" s="3"/>
    </row>
    <row r="29" spans="2:15" x14ac:dyDescent="0.25">
      <c r="O29" s="6"/>
    </row>
    <row r="30" spans="2:15" x14ac:dyDescent="0.25">
      <c r="O30" s="5"/>
    </row>
    <row r="31" spans="2:15" x14ac:dyDescent="0.25">
      <c r="O31" s="5"/>
    </row>
    <row r="32" spans="2:15" x14ac:dyDescent="0.25">
      <c r="O32" s="3"/>
    </row>
    <row r="33" spans="15:15" x14ac:dyDescent="0.25">
      <c r="O33" s="6"/>
    </row>
    <row r="34" spans="15:15" x14ac:dyDescent="0.25">
      <c r="O34" s="5"/>
    </row>
    <row r="35" spans="15:15" x14ac:dyDescent="0.25">
      <c r="O35" s="5"/>
    </row>
    <row r="36" spans="15:15" x14ac:dyDescent="0.25">
      <c r="O36" s="3"/>
    </row>
    <row r="37" spans="15:15" x14ac:dyDescent="0.25">
      <c r="O37" s="6"/>
    </row>
    <row r="38" spans="15:15" x14ac:dyDescent="0.25">
      <c r="O38" s="5"/>
    </row>
    <row r="39" spans="15:15" x14ac:dyDescent="0.25">
      <c r="O39" s="5"/>
    </row>
    <row r="40" spans="15:15" x14ac:dyDescent="0.25">
      <c r="O40" s="3"/>
    </row>
    <row r="41" spans="15:15" x14ac:dyDescent="0.25">
      <c r="O41" s="6"/>
    </row>
    <row r="42" spans="15:15" x14ac:dyDescent="0.25">
      <c r="O42" s="5"/>
    </row>
    <row r="43" spans="15:15" x14ac:dyDescent="0.25">
      <c r="O43" s="5"/>
    </row>
    <row r="44" spans="15:15" x14ac:dyDescent="0.25">
      <c r="O44" s="3"/>
    </row>
    <row r="45" spans="15:15" x14ac:dyDescent="0.25">
      <c r="O45" s="6"/>
    </row>
    <row r="46" spans="15:15" x14ac:dyDescent="0.25">
      <c r="O46" s="5"/>
    </row>
    <row r="47" spans="15:15" x14ac:dyDescent="0.25">
      <c r="O47" s="5"/>
    </row>
    <row r="48" spans="15:15" x14ac:dyDescent="0.25">
      <c r="O48" s="3"/>
    </row>
    <row r="49" spans="15:15" x14ac:dyDescent="0.25">
      <c r="O49" s="6"/>
    </row>
    <row r="50" spans="15:15" x14ac:dyDescent="0.25">
      <c r="O50" s="5"/>
    </row>
    <row r="51" spans="15:15" x14ac:dyDescent="0.25">
      <c r="O51" s="5"/>
    </row>
    <row r="52" spans="15:15" x14ac:dyDescent="0.25">
      <c r="O52" s="3"/>
    </row>
    <row r="53" spans="15:15" x14ac:dyDescent="0.25">
      <c r="O53" s="6"/>
    </row>
    <row r="54" spans="15:15" x14ac:dyDescent="0.25">
      <c r="O54" s="5"/>
    </row>
    <row r="55" spans="15:15" x14ac:dyDescent="0.25">
      <c r="O55" s="5"/>
    </row>
    <row r="56" spans="15:15" x14ac:dyDescent="0.25">
      <c r="O56" s="3"/>
    </row>
    <row r="57" spans="15:15" x14ac:dyDescent="0.25">
      <c r="O57" s="6"/>
    </row>
    <row r="58" spans="15:15" x14ac:dyDescent="0.25">
      <c r="O58" s="5"/>
    </row>
    <row r="59" spans="15:15" x14ac:dyDescent="0.25">
      <c r="O59" s="5"/>
    </row>
    <row r="60" spans="15:15" x14ac:dyDescent="0.25">
      <c r="O60" s="7"/>
    </row>
    <row r="61" spans="15:15" x14ac:dyDescent="0.25">
      <c r="O61" s="6"/>
    </row>
    <row r="62" spans="15:15" x14ac:dyDescent="0.25">
      <c r="O62" s="5"/>
    </row>
    <row r="63" spans="15:15" x14ac:dyDescent="0.25">
      <c r="O63" s="5"/>
    </row>
  </sheetData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2:F24"/>
  <sheetViews>
    <sheetView tabSelected="1" workbookViewId="0">
      <selection activeCell="D10" sqref="D10"/>
    </sheetView>
  </sheetViews>
  <sheetFormatPr defaultRowHeight="15" x14ac:dyDescent="0.25"/>
  <cols>
    <col min="1" max="1" width="48.28515625" customWidth="1"/>
    <col min="2" max="2" width="15.5703125" customWidth="1"/>
    <col min="3" max="4" width="15.85546875" customWidth="1"/>
    <col min="5" max="5" width="15.140625" customWidth="1"/>
    <col min="6" max="6" width="13.7109375" customWidth="1"/>
  </cols>
  <sheetData>
    <row r="2" spans="1:6" ht="64.5" customHeight="1" x14ac:dyDescent="0.25">
      <c r="A2" s="8"/>
      <c r="B2" s="14" t="s">
        <v>46</v>
      </c>
      <c r="C2" s="14" t="s">
        <v>47</v>
      </c>
      <c r="D2" s="14" t="s">
        <v>43</v>
      </c>
      <c r="E2" s="14" t="s">
        <v>48</v>
      </c>
      <c r="F2" s="14" t="s">
        <v>49</v>
      </c>
    </row>
    <row r="3" spans="1:6" x14ac:dyDescent="0.25">
      <c r="A3" s="8" t="s">
        <v>25</v>
      </c>
      <c r="B3" s="21">
        <f>'PRVO UNESITE PODATKE'!C8*12</f>
        <v>0</v>
      </c>
      <c r="C3" s="19">
        <f>IF('PRVO UNESITE PODATKE'!C8*12&gt;=60000,"NE PAUŠALNO",'PRVO UNESITE PODATKE'!C8*12)</f>
        <v>0</v>
      </c>
      <c r="D3" s="21">
        <f>'PRVO UNESITE PODATKE'!C8*12</f>
        <v>0</v>
      </c>
      <c r="E3" s="21">
        <f>B3</f>
        <v>0</v>
      </c>
      <c r="F3" s="20">
        <f>C3</f>
        <v>0</v>
      </c>
    </row>
    <row r="4" spans="1:6" x14ac:dyDescent="0.25">
      <c r="A4" s="8" t="s">
        <v>26</v>
      </c>
      <c r="B4" s="22">
        <f>'PRVO UNESITE PODATKE'!C9*12</f>
        <v>0</v>
      </c>
      <c r="C4" s="23">
        <f>'PRVO UNESITE PODATKE'!C9*12</f>
        <v>0</v>
      </c>
      <c r="D4" s="22">
        <f>'PRVO UNESITE PODATKE'!C9*12</f>
        <v>0</v>
      </c>
      <c r="E4" s="22">
        <f>B4</f>
        <v>0</v>
      </c>
      <c r="F4" s="22">
        <f>C4</f>
        <v>0</v>
      </c>
    </row>
    <row r="5" spans="1:6" x14ac:dyDescent="0.25">
      <c r="A5" s="8" t="s">
        <v>27</v>
      </c>
      <c r="B5" s="22">
        <f>1295.45*(0.2+0.165)</f>
        <v>472.83924999999999</v>
      </c>
      <c r="C5" s="23">
        <f>797.2*(0.2+0.165)</f>
        <v>290.97800000000001</v>
      </c>
      <c r="D5" s="22">
        <f>2192.3*(0.2+0.165)+0.01</f>
        <v>800.19950000000006</v>
      </c>
      <c r="E5" s="22">
        <v>0</v>
      </c>
      <c r="F5" s="22">
        <v>0</v>
      </c>
    </row>
    <row r="6" spans="1:6" x14ac:dyDescent="0.25">
      <c r="A6" s="8" t="s">
        <v>41</v>
      </c>
      <c r="B6" s="22">
        <f>B5*12</f>
        <v>5674.0709999999999</v>
      </c>
      <c r="C6" s="23">
        <f t="shared" ref="C6:D6" si="0">C5*12</f>
        <v>3491.7359999999999</v>
      </c>
      <c r="D6" s="22">
        <f t="shared" si="0"/>
        <v>9602.3940000000002</v>
      </c>
      <c r="E6" s="22">
        <v>0</v>
      </c>
      <c r="F6" s="22">
        <v>0</v>
      </c>
    </row>
    <row r="7" spans="1:6" x14ac:dyDescent="0.25">
      <c r="A7" s="8" t="s">
        <v>55</v>
      </c>
      <c r="B7" s="22">
        <v>0</v>
      </c>
      <c r="C7" s="23">
        <v>0</v>
      </c>
      <c r="D7" s="22">
        <f>List1!A6*12</f>
        <v>3184.5984000000008</v>
      </c>
      <c r="E7" s="22">
        <v>0</v>
      </c>
      <c r="F7" s="22">
        <v>0</v>
      </c>
    </row>
    <row r="8" spans="1:6" x14ac:dyDescent="0.25">
      <c r="A8" s="8" t="s">
        <v>28</v>
      </c>
      <c r="B8" s="22">
        <v>0</v>
      </c>
      <c r="C8" s="23">
        <v>0</v>
      </c>
      <c r="D8" s="29">
        <f>List1!A8*12</f>
        <v>17861.481600000003</v>
      </c>
      <c r="E8" s="22">
        <f>B8</f>
        <v>0</v>
      </c>
      <c r="F8" s="22">
        <v>0</v>
      </c>
    </row>
    <row r="9" spans="1:6" x14ac:dyDescent="0.25">
      <c r="A9" s="8" t="s">
        <v>29</v>
      </c>
      <c r="B9" s="22">
        <f>B3-B4-B6-B8+('PRVO UNESITE PODATKE'!C15+'PRVO UNESITE PODATKE'!C16)*0.5</f>
        <v>-5674.0709999999999</v>
      </c>
      <c r="C9" s="23">
        <f>C3-C4-C6-C8+('PRVO UNESITE PODATKE'!C15+'PRVO UNESITE PODATKE'!C16)*0.5</f>
        <v>-3491.7359999999999</v>
      </c>
      <c r="D9" s="22">
        <f>D3-D4-D6-D7-D8+('PRVO UNESITE PODATKE'!C15+'PRVO UNESITE PODATKE'!C16)*0.5</f>
        <v>-30648.474000000002</v>
      </c>
      <c r="E9" s="22">
        <f>E3-E4</f>
        <v>0</v>
      </c>
      <c r="F9" s="22">
        <f>F3-F4</f>
        <v>0</v>
      </c>
    </row>
    <row r="10" spans="1:6" x14ac:dyDescent="0.25">
      <c r="A10" s="8" t="s">
        <v>30</v>
      </c>
      <c r="B10" s="22">
        <f>('PRVO UNESITE PODATKE'!C18+'PRVO UNESITE PODATKE'!C19)*12</f>
        <v>7200</v>
      </c>
      <c r="C10" s="23">
        <v>0</v>
      </c>
      <c r="D10" s="22">
        <v>0</v>
      </c>
      <c r="E10" s="22">
        <v>0</v>
      </c>
      <c r="F10" s="22">
        <v>0</v>
      </c>
    </row>
    <row r="11" spans="1:6" x14ac:dyDescent="0.25">
      <c r="A11" s="8" t="s">
        <v>31</v>
      </c>
      <c r="B11" s="22">
        <f>'PRVO UNESITE PODATKE'!C23+'PRVO UNESITE PODATKE'!C24+'PRVO UNESITE PODATKE'!C25*B9*0.05</f>
        <v>0</v>
      </c>
      <c r="C11" s="23">
        <v>0</v>
      </c>
      <c r="D11" s="22">
        <f>'PRVO UNESITE PODATKE'!C23</f>
        <v>0</v>
      </c>
      <c r="E11" s="22">
        <f>B11</f>
        <v>0</v>
      </c>
      <c r="F11" s="22">
        <v>0</v>
      </c>
    </row>
    <row r="12" spans="1:6" ht="30" x14ac:dyDescent="0.25">
      <c r="A12" s="8" t="s">
        <v>32</v>
      </c>
      <c r="B12" s="30">
        <f>IF((B9-B10-B11)&gt;0,(B9-B10-B11),0)</f>
        <v>0</v>
      </c>
      <c r="C12" s="31">
        <f>C3</f>
        <v>0</v>
      </c>
      <c r="D12" s="30">
        <f>IF((D9-D11)&gt;0,(D9-D11),0)</f>
        <v>0</v>
      </c>
      <c r="E12" s="30">
        <f>E9-E10-E11</f>
        <v>0</v>
      </c>
      <c r="F12" s="31">
        <f>F3</f>
        <v>0</v>
      </c>
    </row>
    <row r="13" spans="1:6" ht="45.75" customHeight="1" x14ac:dyDescent="0.25">
      <c r="A13" s="8" t="s">
        <v>40</v>
      </c>
      <c r="B13" s="22"/>
      <c r="C13" s="24">
        <f>IF(C3&lt;=11300,203.4,IF(AND(C3&gt;=11300.01,C3&lt;=15300),275.4,IF(AND(C3&gt;=15300.01,C3&lt;=19900),358.2,IF(AND(C3&gt;=19900.01,C3&lt;=30600),550.8,IF(AND(C3&gt;=30600.01,C3&lt;=40000),720,IF(AND(C3&gt;=40000.01,C3&lt;=50000),900,IF(AND(C3&gt;=50000.01,C3&lt;=60000),1080,IF(C3&gt;60000,"nemoguće primijeniti model"))))))))</f>
        <v>203.4</v>
      </c>
      <c r="D13" s="22">
        <f>IF(D12&lt;=0,0,IF(D12&gt;0,D12*10%))</f>
        <v>0</v>
      </c>
      <c r="E13" s="22"/>
      <c r="F13" s="24">
        <f>IF(F3&lt;=11300,203.4,IF(AND(F3&gt;=11300.01,F3&lt;=15300),275.4,IF(AND(F3&gt;=15300.01,F3&lt;=19900),358.2,IF(AND(F3&gt;=19900.01,F3&lt;=30600),550.8,IF(AND(F3&gt;=30600.01,F3&lt;=40000),720,IF(AND(F3&gt;=40000.01,F3&lt;=50000),900,IF(AND(F3&gt;=50000.01,F3&lt;=60000),1080,IF(F3&gt;60000,"nemoguće primijeniti model"))))))))</f>
        <v>203.4</v>
      </c>
    </row>
    <row r="14" spans="1:6" x14ac:dyDescent="0.25">
      <c r="A14" s="8" t="s">
        <v>37</v>
      </c>
      <c r="B14" s="22">
        <f>B12*'PRVO UNESITE PODATKE'!C20</f>
        <v>0</v>
      </c>
      <c r="C14" s="22">
        <v>0</v>
      </c>
      <c r="D14" s="22">
        <v>0</v>
      </c>
      <c r="E14" s="22">
        <f>E12*'PRVO UNESITE PODATKE'!C20</f>
        <v>0</v>
      </c>
      <c r="F14" s="22">
        <v>0</v>
      </c>
    </row>
    <row r="15" spans="1:6" x14ac:dyDescent="0.25">
      <c r="A15" s="8" t="s">
        <v>38</v>
      </c>
      <c r="B15" s="22">
        <f>IF(B12&gt;=60000*((B12-60000)*'PRVO UNESITE PODATKE'!C21/100),0)</f>
        <v>0</v>
      </c>
      <c r="C15" s="22">
        <v>0</v>
      </c>
      <c r="D15" s="22">
        <v>0</v>
      </c>
      <c r="E15" s="22">
        <f>IF(E12&gt;=60000*((E12-60000)*'PRVO UNESITE PODATKE'!C21/100),0)</f>
        <v>0</v>
      </c>
      <c r="F15" s="22">
        <v>0</v>
      </c>
    </row>
    <row r="16" spans="1:6" x14ac:dyDescent="0.25">
      <c r="A16" s="8" t="s">
        <v>33</v>
      </c>
      <c r="B16" s="22">
        <f>SUM(B13:B15)</f>
        <v>0</v>
      </c>
      <c r="C16" s="22">
        <f>SUM(C13:C15)</f>
        <v>203.4</v>
      </c>
      <c r="D16" s="22">
        <f>SUM(D13:D15)</f>
        <v>0</v>
      </c>
      <c r="E16" s="22">
        <f>E14+E15</f>
        <v>0</v>
      </c>
      <c r="F16" s="22">
        <f>SUM(F13:F15)</f>
        <v>203.4</v>
      </c>
    </row>
    <row r="17" spans="1:6" x14ac:dyDescent="0.25">
      <c r="A17" s="18" t="s">
        <v>39</v>
      </c>
      <c r="B17" s="22"/>
      <c r="C17" s="22"/>
      <c r="D17" s="25">
        <f>D18</f>
        <v>0</v>
      </c>
      <c r="E17" s="22"/>
      <c r="F17" s="22"/>
    </row>
    <row r="18" spans="1:6" x14ac:dyDescent="0.25">
      <c r="A18" s="11" t="s">
        <v>36</v>
      </c>
      <c r="B18" s="22"/>
      <c r="C18" s="22"/>
      <c r="D18" s="22">
        <f>IF((D12-D16)&gt;0,(D12-D16)*0.12,0)</f>
        <v>0</v>
      </c>
      <c r="E18" s="22"/>
      <c r="F18" s="22"/>
    </row>
    <row r="19" spans="1:6" ht="15.75" x14ac:dyDescent="0.25">
      <c r="A19" s="8" t="s">
        <v>34</v>
      </c>
      <c r="B19" s="26">
        <f>B16+B17</f>
        <v>0</v>
      </c>
      <c r="C19" s="26">
        <f t="shared" ref="C19:D19" si="1">C16+C17</f>
        <v>203.4</v>
      </c>
      <c r="D19" s="26">
        <f t="shared" si="1"/>
        <v>0</v>
      </c>
      <c r="E19" s="26">
        <f>E16</f>
        <v>0</v>
      </c>
      <c r="F19" s="26">
        <f>F16</f>
        <v>203.4</v>
      </c>
    </row>
    <row r="20" spans="1:6" ht="15.75" x14ac:dyDescent="0.25">
      <c r="A20" s="8" t="s">
        <v>42</v>
      </c>
      <c r="B20" s="27">
        <f>B6</f>
        <v>5674.0709999999999</v>
      </c>
      <c r="C20" s="27">
        <f>C6</f>
        <v>3491.7359999999999</v>
      </c>
      <c r="D20" s="27">
        <f>D6</f>
        <v>9602.3940000000002</v>
      </c>
      <c r="E20" s="28">
        <f>IF(E9&gt;=14024.4,(14024.4*17.5/100),E9*17.5/100)</f>
        <v>0</v>
      </c>
      <c r="F20" s="32">
        <f>IF(F3&lt;=11300,296.63,IF(AND(F3&gt;=11300.01,F3&lt;=15300),401.63,IF(AND(F3&gt;=15300.01,F3&lt;=19900),522.38,IF(AND(F3&gt;=19900.01,F3&lt;=30600),803.25,IF(AND(F3&gt;=30600.01,F3&lt;=40000),1050,IF(AND(F3&gt;=40000.01,F3&lt;=50000),1312.5,IF(AND(F3&gt;=5000.01,F3&lt;=60000),1575,IF(F3&gt;60000,"nemoguće primijeniti model"))))))))</f>
        <v>296.63</v>
      </c>
    </row>
    <row r="21" spans="1:6" ht="15.75" x14ac:dyDescent="0.25">
      <c r="A21" s="8" t="s">
        <v>35</v>
      </c>
      <c r="B21" s="27">
        <f>B9+B8-B19</f>
        <v>-5674.0709999999999</v>
      </c>
      <c r="C21" s="27">
        <f>C9+C8-C19</f>
        <v>-3695.136</v>
      </c>
      <c r="D21" s="27">
        <f>D9+D8-D19</f>
        <v>-12786.992399999999</v>
      </c>
      <c r="E21" s="27">
        <f>E9-E19-E20</f>
        <v>0</v>
      </c>
      <c r="F21" s="27">
        <f>F9-F16-F20</f>
        <v>-500.03</v>
      </c>
    </row>
    <row r="24" spans="1:6" x14ac:dyDescent="0.25">
      <c r="A24" s="34" t="s">
        <v>50</v>
      </c>
      <c r="B24" s="34"/>
      <c r="C24" s="34"/>
      <c r="D24" s="34"/>
      <c r="E24" s="34"/>
      <c r="F24" s="34"/>
    </row>
  </sheetData>
  <sheetProtection algorithmName="SHA-512" hashValue="KQ22JJmxFIeqIMB7RUTpqjVy2xcUQZXqi57dU6y1gisuE1Jxco0+WDMwPhDFZ+6j66R2uU4MFA4qkjCXRGzoSw==" saltValue="1HqMhHeMM4Mk2uHEvmOzVQ==" spinCount="100000" sheet="1" objects="1" scenarios="1" selectLockedCells="1" selectUnlockedCells="1"/>
  <mergeCells count="1">
    <mergeCell ref="A24:F24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PRVO UNESITE PODATKE</vt:lpstr>
      <vt:lpstr>PREGLED MOGUĆNOSTI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Dudy-pc</dc:creator>
  <cp:keywords/>
  <dc:description/>
  <cp:lastModifiedBy>Đurđica Mostarčić</cp:lastModifiedBy>
  <cp:revision/>
  <cp:lastPrinted>2025-03-23T18:48:27Z</cp:lastPrinted>
  <dcterms:created xsi:type="dcterms:W3CDTF">2017-12-13T04:24:45Z</dcterms:created>
  <dcterms:modified xsi:type="dcterms:W3CDTF">2026-07-31T06:19:21Z</dcterms:modified>
  <cp:category/>
  <cp:contentStatus/>
</cp:coreProperties>
</file>